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oskresenskay.ZALADMIN\Desktop\годовые отчеты\годовой отчет 2024 дума\годовой отчет 2024 дума\"/>
    </mc:Choice>
  </mc:AlternateContent>
  <bookViews>
    <workbookView xWindow="360" yWindow="390" windowWidth="14940" windowHeight="9030"/>
  </bookViews>
  <sheets>
    <sheet name="Универсальный отчет по доходам" sheetId="1" r:id="rId1"/>
  </sheets>
  <definedNames>
    <definedName name="APPT" localSheetId="0">'Универсальный отчет по доходам'!$B$20</definedName>
    <definedName name="FIO" localSheetId="0">'Универсальный отчет по доходам'!$E$20</definedName>
    <definedName name="LAST_CELL" localSheetId="0">'Универсальный отчет по доходам'!$I$115</definedName>
    <definedName name="SIGN" localSheetId="0">'Универсальный отчет по доходам'!$B$20:$G$21</definedName>
  </definedNames>
  <calcPr calcId="152511"/>
</workbook>
</file>

<file path=xl/calcChain.xml><?xml version="1.0" encoding="utf-8"?>
<calcChain xmlns="http://schemas.openxmlformats.org/spreadsheetml/2006/main">
  <c r="D146" i="1" l="1"/>
  <c r="D145" i="1"/>
  <c r="D144" i="1"/>
  <c r="D143" i="1"/>
  <c r="D141" i="1"/>
  <c r="D140" i="1"/>
  <c r="D139" i="1"/>
  <c r="D138" i="1"/>
  <c r="D136" i="1"/>
  <c r="D135" i="1"/>
  <c r="D134" i="1"/>
  <c r="D133" i="1"/>
  <c r="D132" i="1"/>
  <c r="D131" i="1"/>
  <c r="D130" i="1"/>
  <c r="D129" i="1"/>
  <c r="D128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2" i="1"/>
  <c r="D111" i="1"/>
  <c r="D110" i="1"/>
  <c r="D108" i="1"/>
  <c r="D107" i="1"/>
  <c r="D106" i="1"/>
  <c r="D105" i="1"/>
  <c r="D104" i="1"/>
  <c r="D103" i="1"/>
  <c r="D102" i="1"/>
  <c r="D101" i="1"/>
  <c r="D99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58" i="1"/>
  <c r="D57" i="1"/>
  <c r="D56" i="1"/>
  <c r="D55" i="1"/>
  <c r="D54" i="1"/>
  <c r="D52" i="1"/>
  <c r="D51" i="1"/>
  <c r="D50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7" i="1"/>
  <c r="D16" i="1"/>
  <c r="D15" i="1"/>
  <c r="D14" i="1"/>
  <c r="D13" i="1"/>
  <c r="D12" i="1"/>
</calcChain>
</file>

<file path=xl/sharedStrings.xml><?xml version="1.0" encoding="utf-8"?>
<sst xmlns="http://schemas.openxmlformats.org/spreadsheetml/2006/main" count="370" uniqueCount="228">
  <si>
    <t>КВД</t>
  </si>
  <si>
    <t>Наименование КВД</t>
  </si>
  <si>
    <t>Зачислено</t>
  </si>
  <si>
    <t>048</t>
  </si>
  <si>
    <t>Федеральная служба по надзору в сфере природопользования</t>
  </si>
  <si>
    <t>1.12.01010.01.6000.120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</si>
  <si>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</si>
  <si>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1.12.01041.01.6000.120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</si>
  <si>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</si>
  <si>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1.12.01042.01.6000.120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</si>
  <si>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</si>
  <si>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1.03.02231.01.0000.110</t>
  </si>
  <si>
    <t>1.03.02241.01.0000.110</t>
  </si>
  <si>
    <t>1.03.02251.01.0000.110</t>
  </si>
  <si>
    <t>1.03.02261.01.0000.110</t>
  </si>
  <si>
    <t>182</t>
  </si>
  <si>
    <t>1.01.02010.01.1000.110</t>
  </si>
  <si>
    <t>1.01.02010.01.3000.110</t>
  </si>
  <si>
    <t>1.01.02020.01.1000.110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</si>
  <si>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</si>
  <si>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1.01.02020.01.3000.110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</si>
  <si>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</si>
  <si>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1.01.02030.01.1000.110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</si>
  <si>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</si>
  <si>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1.01.02030.01.3000.110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</si>
  <si>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</si>
  <si>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1.01.02040.01.1000.110</t>
  </si>
  <si>
    <t>1.05.01011.01.1000.110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</si>
  <si>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</si>
  <si>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1.05.01011.01.3000.110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</si>
  <si>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</si>
  <si>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1.05.01021.01.1000.110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</si>
  <si>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</si>
  <si>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1.05.01021.01.3000.110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</si>
  <si>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</si>
  <si>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1.05.02010.02.1000.110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</si>
  <si>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</si>
  <si>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1.05.02010.02.3000.110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</si>
  <si>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</si>
  <si>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1.05.03010.01.1000.110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</si>
  <si>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</si>
  <si>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1.05.04020.02.1000.110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</si>
  <si>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</si>
  <si>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188</t>
  </si>
  <si>
    <t>843</t>
  </si>
  <si>
    <t>970</t>
  </si>
  <si>
    <t>1.13.02995.05.0000.130</t>
  </si>
  <si>
    <t>Прочие доходы от компенсации затрат бюджетов муниципальных районов</t>
  </si>
  <si>
    <t>2.02.15001.05.0000.150</t>
  </si>
  <si>
    <t>2.02.15002.05.0000.150</t>
  </si>
  <si>
    <t>Дотации бюджетам муниципальных районов на поддержку мер по обеспечению сбалансированности бюджетов</t>
  </si>
  <si>
    <t>2.02.29999.05.0000.150</t>
  </si>
  <si>
    <t>Прочие субсидии бюджетам муниципальных районов</t>
  </si>
  <si>
    <t>2.02.30024.05.0000.150</t>
  </si>
  <si>
    <t>Субвенции бюджетам муниципальных районов на выполнение передаваемых полномочий субъектов Российской Федерации</t>
  </si>
  <si>
    <t>2.02.35120.05.0000.150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</si>
  <si>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</si>
  <si>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2.02.40014.05.0000.150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</si>
  <si>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</si>
  <si>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2.02.49999.05.0000.150</t>
  </si>
  <si>
    <t>Прочие межбюджетные трансферты, передаваемые бюджетам муниципальных районов</t>
  </si>
  <si>
    <t>974</t>
  </si>
  <si>
    <t>1.11.05013.05.0000.120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</si>
  <si>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</si>
  <si>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1.11.09045.05.0000.120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</si>
  <si>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</si>
  <si>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1.14.06013.05.0000.430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</si>
  <si>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</si>
  <si>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975</t>
  </si>
  <si>
    <t>2.02.39999.05.0000.150</t>
  </si>
  <si>
    <t>Прочие субвенции бюджетам муниципальных районов</t>
  </si>
  <si>
    <t>976</t>
  </si>
  <si>
    <t>978</t>
  </si>
  <si>
    <t>1.11.05013.13.0000.120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</si>
  <si>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</si>
  <si>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1.14.06013.13.0000.430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</si>
  <si>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</si>
  <si>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Итого</t>
  </si>
  <si>
    <t>ГАД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</si>
  <si>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</si>
  <si>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1.16.10123.01.0051.140</t>
  </si>
  <si>
    <t>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</si>
  <si>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806</t>
  </si>
  <si>
    <t>1.16.01053.01.0035.140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</si>
  <si>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</si>
  <si>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1.16.01063.01.0009.140</t>
  </si>
  <si>
    <t>1.16.01063.01.9000.140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</si>
  <si>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</si>
  <si>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1.16.01073.01.0027.140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</si>
  <si>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</si>
  <si>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</si>
  <si>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1.16.01203.01.9000.140</t>
  </si>
  <si>
    <t>Административный штаф</t>
  </si>
  <si>
    <t>1.16.01203.01.0021.140</t>
  </si>
  <si>
    <t>837</t>
  </si>
  <si>
    <t>1.16.01053.01.0059.140</t>
  </si>
  <si>
    <t>1.16.01063.01.0091.140</t>
  </si>
  <si>
    <t>1.16.01063.01.0101.140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</si>
  <si>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</si>
  <si>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1.16.01083.01.0281.140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</si>
  <si>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</si>
  <si>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1.16.01143.01.0002.140</t>
  </si>
  <si>
    <t>1.16.01143.01.9000.140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</si>
  <si>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</si>
  <si>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1.16.01153.01.0006.140</t>
  </si>
  <si>
    <t>1.16.01153.01.9000.140</t>
  </si>
  <si>
    <t>Административные штрафы</t>
  </si>
  <si>
    <t>1.16.01153.01.0005.140</t>
  </si>
  <si>
    <t>Админ. штрафы</t>
  </si>
  <si>
    <t>1.16.01193.01.0005.140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</si>
  <si>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</si>
  <si>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1.16.11050.01.5300.140</t>
  </si>
  <si>
    <t>1.16.07090.05.0000.140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</si>
  <si>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</si>
  <si>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</si>
  <si>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2.02.25304.05.0000.150</t>
  </si>
  <si>
    <t>2.02.45303.05.0000.150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</si>
  <si>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</si>
  <si>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</si>
  <si>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</si>
  <si>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</si>
  <si>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</si>
  <si>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1.01.02080.01.1000.110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</si>
  <si>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</si>
  <si>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1.08.03010.01.1050.110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</si>
  <si>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</si>
  <si>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1.08.03010.01.1060.110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</si>
  <si>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</si>
  <si>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1.16.01073.01.0017.140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</si>
  <si>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</si>
  <si>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1.16.01173.01.9000.140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</si>
  <si>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</si>
  <si>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1.16.01193.01.0013.140</t>
  </si>
  <si>
    <t>1.16.01203.01.0007.140</t>
  </si>
  <si>
    <t>971</t>
  </si>
  <si>
    <t>Субсидии бюджетам муниципальных районов на обеспечение комплексного развития сельских территорий</t>
  </si>
  <si>
    <t>2.02.25576.05.0000.150</t>
  </si>
  <si>
    <t>Субсидии бюджетам муниципальных районов на поддержку отрасли культуры</t>
  </si>
  <si>
    <t>2.02.25519.05.0000.150</t>
  </si>
  <si>
    <t>Федеральная налоговая служба</t>
  </si>
  <si>
    <t>Министерство внутренних дел Российской Федерации</t>
  </si>
  <si>
    <t>Министерство социальной защиты, опеки и попечительства</t>
  </si>
  <si>
    <t>Агентство по обеспечению деятельности мировых судей Иркутской области</t>
  </si>
  <si>
    <t>Министерство лесного комплекса Иркутской области</t>
  </si>
  <si>
    <t>Муниципальное казенное учреждение Комитет по управлению муниципальным имуществом муниципального образования "Заларинский район"</t>
  </si>
  <si>
    <t>Муниципальное казенное учреждение "Комитет по образованию администрации муниципального образования "Заларинский район"</t>
  </si>
  <si>
    <t>муниципальное казенное учреждение Комитет по культуре администрации муниципального образования "Заларинский район"</t>
  </si>
  <si>
    <t>управление поселения</t>
  </si>
  <si>
    <t xml:space="preserve">Администрация муниципального образования "Заларинский район" </t>
  </si>
  <si>
    <t>1.16.01193.01.0007.140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</si>
  <si>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незаконные изготовление, продажу или передачу пневматического оружия)</t>
  </si>
  <si>
    <t>1.16.01203.01.0010.140</t>
  </si>
  <si>
    <t>1.08.07150.01.1000.110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</si>
  <si>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</si>
  <si>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1.14.06025.05.0000.430</t>
  </si>
  <si>
    <t>Субсидии бюджетам муниципальных районов на реализацию мероприятий по обеспечению жильем молодых семей</t>
  </si>
  <si>
    <t>2.02.25497.05.0000.150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</si>
  <si>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</si>
  <si>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2.02.45179.05.0000.150</t>
  </si>
  <si>
    <t>Доходы от денежных взысканий (штрафов),</t>
  </si>
  <si>
    <t>815</t>
  </si>
  <si>
    <t>1.16.10123.01.4851.140</t>
  </si>
  <si>
    <t>1.16.11050.01.4800.140</t>
  </si>
  <si>
    <t>Платежи по искам о возмещении вреда</t>
  </si>
  <si>
    <t>1.16.11050.01.4801.140</t>
  </si>
  <si>
    <t>Министерство природных ресурсов Иркутской области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</si>
  <si>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</si>
  <si>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1.12.01030.01.6000.120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</si>
  <si>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</si>
  <si>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</si>
  <si>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</si>
  <si>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1.01.02130.01.1000.110</t>
  </si>
  <si>
    <t>1.01.02140.01.1000.110</t>
  </si>
  <si>
    <t>1.16.18000.02.0000.140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</si>
  <si>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
</t>
  </si>
  <si>
    <t>1.16.01193.01.9000.140</t>
  </si>
  <si>
    <t>Административные штрафы, установленные Кодексом Российской Федерации об административных правонарушениях</t>
  </si>
  <si>
    <t>1.16.01203.01.0013.140</t>
  </si>
  <si>
    <t>1.16.01053.01.9000.140</t>
  </si>
  <si>
    <t>1.16.01143.01.0171.140</t>
  </si>
  <si>
    <t>1.16.01173.01.0008.140</t>
  </si>
  <si>
    <t>1.16.01203.01.0006.140</t>
  </si>
  <si>
    <t>1.16.01193.01.0029.140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</si>
  <si>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 (возмещение вреда, причиненного лесам и находящимся в них природным объектам)</t>
  </si>
  <si>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отмененному))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</si>
  <si>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</si>
  <si>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2.02.27576.05.0000.150</t>
  </si>
  <si>
    <t>Инициативные платежи, зачисляемые в бюджеты муниципальных районов (проект 1)</t>
  </si>
  <si>
    <t>Инициативные платежи, зачисляемые в бюджеты муниципальных районов (проект 2)</t>
  </si>
  <si>
    <t>1.17.15030.05.0001.150</t>
  </si>
  <si>
    <t>1.17.15030.05.0002.150</t>
  </si>
  <si>
    <t>Федеральная служба государственной регистрации, кадастра и картографии</t>
  </si>
  <si>
    <t>321</t>
  </si>
  <si>
    <t xml:space="preserve">                                             Приложение № 1                                                                                                                                      к решению Районной думы "Об исполнении бюджета                                                                                                         муниципального образования "Заларинский район"за 2024 год"                                                                                                                                                                                                              №____от "____"________2025г.</t>
  </si>
  <si>
    <t>Доходы бюджета муниципального образования "Заларинский район" по кодам классификации                                                                       доходов бюджетов за 2024 год</t>
  </si>
  <si>
    <t>Плата за выбросы загрязняющих веществ в атмосферный воздух стационарными объектами (пени по соответствующему платежу)</t>
  </si>
  <si>
    <t>1.12.01010.01.2100.120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</si>
  <si>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</si>
  <si>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1.16.11050.01.0000.140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</si>
  <si>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</si>
  <si>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</si>
  <si>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</si>
  <si>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 (иные штрафы)</t>
  </si>
  <si>
    <t>1.16.10129.01.9000.140</t>
  </si>
  <si>
    <t>1.16.01143.01.0102.140</t>
  </si>
  <si>
    <t>Админ штрафы</t>
  </si>
  <si>
    <t>1.16.01143.01.0016.140</t>
  </si>
  <si>
    <t>административным штрафам, установленным Главой 5 Кодекса Российской Федерации об административных правонарушениях.</t>
  </si>
  <si>
    <t>1.16.01053.01.0063.140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</si>
  <si>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</si>
  <si>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1.16.01053.01.0351.140</t>
  </si>
  <si>
    <t>1.16.01193.01.0020.140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</si>
  <si>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</t>
  </si>
  <si>
    <t>1.16.01203.01.0012.140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</si>
  <si>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района</t>
  </si>
  <si>
    <t>Комитет финансам администрации муниципального образования "Заларинский район"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</si>
  <si>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</si>
  <si>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1.14.02052.05.0000.410</t>
  </si>
  <si>
    <t>Субсидии бюджетам муниципальных районов на развитие транспортной инфраструктуры на сельских территориях</t>
  </si>
  <si>
    <t>2.02.25372.05.0000.150</t>
  </si>
  <si>
    <t>Прочие безвозмездные поступления в бюджеты муниципальных районов</t>
  </si>
  <si>
    <t>2.07.05030.05.0000.150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</si>
  <si>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</si>
  <si>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</si>
  <si>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2.02.45050.05.0000.150</t>
  </si>
  <si>
    <t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</si>
  <si>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>1.11.05314.13.0000.120</t>
  </si>
  <si>
    <t>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</si>
</sst>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11" x14ac:knownFonts="1">
    <font>
      <sz val="10"/>
      <name val="Arial"/>
    </font>
    <font>
      <sz val="10"/>
      <name val="Times New Roman"/>
      <family val="1"/>
      <charset val="204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61">
    <xf numFmtId="0" fontId="0" fillId="0" borderId="0" xfId="0"/>
    <xf numFmtId="0" fontId="2" fillId="0" borderId="0" xfId="0" applyFont="1" applyBorder="1" applyAlignment="1" applyProtection="1"/>
    <xf numFmtId="164" fontId="2" fillId="0" borderId="0" xfId="0" applyNumberFormat="1" applyFont="1" applyBorder="1" applyAlignment="1" applyProtection="1"/>
    <xf numFmtId="0" fontId="2" fillId="0" borderId="0" xfId="0" applyFont="1" applyBorder="1" applyAlignment="1" applyProtection="1">
      <alignment horizontal="right"/>
    </xf>
    <xf numFmtId="14" fontId="2" fillId="0" borderId="0" xfId="0" applyNumberFormat="1" applyFont="1" applyBorder="1" applyAlignment="1" applyProtection="1">
      <alignment horizontal="left"/>
    </xf>
    <xf numFmtId="0" fontId="0" fillId="0" borderId="0" xfId="0" applyAlignment="1"/>
    <xf numFmtId="0" fontId="2" fillId="0" borderId="0" xfId="0" applyFont="1" applyBorder="1" applyAlignment="1" applyProtection="1">
      <alignment vertical="top"/>
    </xf>
    <xf numFmtId="0" fontId="2" fillId="0" borderId="0" xfId="0" applyFont="1" applyBorder="1" applyAlignment="1" applyProtection="1">
      <alignment horizontal="center" vertical="center"/>
    </xf>
    <xf numFmtId="49" fontId="3" fillId="0" borderId="0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</xf>
    <xf numFmtId="0" fontId="0" fillId="0" borderId="0" xfId="0" applyAlignment="1">
      <alignment vertic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49" fontId="6" fillId="0" borderId="1" xfId="0" applyNumberFormat="1" applyFont="1" applyBorder="1" applyAlignment="1" applyProtection="1">
      <alignment horizontal="center" vertical="center" wrapText="1"/>
    </xf>
    <xf numFmtId="49" fontId="9" fillId="0" borderId="2" xfId="0" applyNumberFormat="1" applyFont="1" applyBorder="1" applyAlignment="1" applyProtection="1">
      <alignment horizontal="center" vertical="center" wrapText="1"/>
    </xf>
    <xf numFmtId="4" fontId="9" fillId="0" borderId="2" xfId="0" applyNumberFormat="1" applyFont="1" applyBorder="1" applyAlignment="1" applyProtection="1">
      <alignment horizontal="right" vertical="center" wrapText="1"/>
    </xf>
    <xf numFmtId="165" fontId="9" fillId="0" borderId="2" xfId="0" applyNumberFormat="1" applyFont="1" applyBorder="1" applyAlignment="1" applyProtection="1">
      <alignment horizontal="center" vertical="center" wrapText="1"/>
    </xf>
    <xf numFmtId="165" fontId="9" fillId="0" borderId="5" xfId="0" applyNumberFormat="1" applyFont="1" applyBorder="1" applyAlignment="1" applyProtection="1">
      <alignment horizontal="center" vertical="center" wrapText="1"/>
    </xf>
    <xf numFmtId="49" fontId="9" fillId="0" borderId="5" xfId="0" applyNumberFormat="1" applyFont="1" applyBorder="1" applyAlignment="1" applyProtection="1">
      <alignment horizontal="center" vertical="center" wrapText="1"/>
    </xf>
    <xf numFmtId="4" fontId="9" fillId="0" borderId="5" xfId="1" applyNumberFormat="1" applyFont="1" applyBorder="1" applyAlignment="1" applyProtection="1">
      <alignment horizontal="right" vertical="center" wrapText="1"/>
    </xf>
    <xf numFmtId="165" fontId="9" fillId="0" borderId="1" xfId="0" applyNumberFormat="1" applyFont="1" applyBorder="1" applyAlignment="1" applyProtection="1">
      <alignment horizontal="center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49" fontId="9" fillId="0" borderId="2" xfId="0" applyNumberFormat="1" applyFont="1" applyFill="1" applyBorder="1" applyAlignment="1" applyProtection="1">
      <alignment horizontal="center" vertical="center" wrapText="1"/>
    </xf>
    <xf numFmtId="4" fontId="9" fillId="0" borderId="2" xfId="0" applyNumberFormat="1" applyFont="1" applyFill="1" applyBorder="1" applyAlignment="1" applyProtection="1">
      <alignment horizontal="right" vertical="center" wrapText="1"/>
    </xf>
    <xf numFmtId="49" fontId="9" fillId="0" borderId="2" xfId="1" applyNumberFormat="1" applyFont="1" applyBorder="1" applyAlignment="1" applyProtection="1">
      <alignment horizontal="center" vertical="center" wrapText="1"/>
    </xf>
    <xf numFmtId="165" fontId="9" fillId="0" borderId="0" xfId="0" applyNumberFormat="1" applyFont="1" applyBorder="1" applyAlignment="1" applyProtection="1">
      <alignment horizontal="center" vertical="center" wrapText="1"/>
    </xf>
    <xf numFmtId="49" fontId="9" fillId="0" borderId="0" xfId="0" applyNumberFormat="1" applyFont="1" applyBorder="1" applyAlignment="1" applyProtection="1">
      <alignment horizontal="center" vertical="center" wrapText="1"/>
    </xf>
    <xf numFmtId="4" fontId="9" fillId="0" borderId="0" xfId="0" applyNumberFormat="1" applyFont="1" applyBorder="1" applyAlignment="1" applyProtection="1">
      <alignment horizontal="right" vertical="center" wrapText="1"/>
    </xf>
    <xf numFmtId="49" fontId="9" fillId="0" borderId="9" xfId="0" applyNumberFormat="1" applyFont="1" applyBorder="1" applyAlignment="1" applyProtection="1">
      <alignment horizontal="center" vertical="center" wrapText="1"/>
    </xf>
    <xf numFmtId="4" fontId="9" fillId="0" borderId="9" xfId="0" applyNumberFormat="1" applyFont="1" applyBorder="1" applyAlignment="1" applyProtection="1">
      <alignment horizontal="right" vertical="center" wrapText="1"/>
    </xf>
    <xf numFmtId="4" fontId="9" fillId="0" borderId="2" xfId="1" applyNumberFormat="1" applyFont="1" applyBorder="1" applyAlignment="1" applyProtection="1">
      <alignment horizontal="right" vertical="center" wrapText="1"/>
    </xf>
    <xf numFmtId="165" fontId="9" fillId="0" borderId="2" xfId="1" applyNumberFormat="1" applyFont="1" applyBorder="1" applyAlignment="1" applyProtection="1">
      <alignment horizontal="center" vertical="center" wrapText="1"/>
    </xf>
    <xf numFmtId="49" fontId="10" fillId="0" borderId="3" xfId="0" applyNumberFormat="1" applyFont="1" applyBorder="1" applyAlignment="1" applyProtection="1">
      <alignment horizontal="center" vertical="center" wrapText="1"/>
    </xf>
    <xf numFmtId="49" fontId="10" fillId="0" borderId="4" xfId="0" applyNumberFormat="1" applyFont="1" applyBorder="1" applyAlignment="1" applyProtection="1">
      <alignment horizontal="center" vertical="center" wrapText="1"/>
    </xf>
    <xf numFmtId="49" fontId="10" fillId="0" borderId="10" xfId="0" applyNumberFormat="1" applyFont="1" applyBorder="1" applyAlignment="1" applyProtection="1">
      <alignment horizontal="center" vertical="center" wrapText="1"/>
    </xf>
    <xf numFmtId="166" fontId="9" fillId="0" borderId="2" xfId="0" applyNumberFormat="1" applyFont="1" applyBorder="1" applyAlignment="1" applyProtection="1">
      <alignment horizontal="right" vertical="center" wrapText="1"/>
    </xf>
    <xf numFmtId="166" fontId="10" fillId="0" borderId="1" xfId="0" applyNumberFormat="1" applyFont="1" applyBorder="1"/>
    <xf numFmtId="0" fontId="4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49" fontId="6" fillId="0" borderId="1" xfId="0" applyNumberFormat="1" applyFont="1" applyBorder="1" applyAlignment="1" applyProtection="1">
      <alignment horizontal="center" vertical="center"/>
    </xf>
    <xf numFmtId="166" fontId="7" fillId="0" borderId="1" xfId="0" applyNumberFormat="1" applyFont="1" applyBorder="1" applyAlignment="1" applyProtection="1">
      <alignment horizontal="center" vertical="center" wrapText="1"/>
    </xf>
    <xf numFmtId="165" fontId="9" fillId="0" borderId="6" xfId="0" applyNumberFormat="1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165" fontId="7" fillId="0" borderId="6" xfId="0" applyNumberFormat="1" applyFont="1" applyBorder="1" applyAlignment="1" applyProtection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166" fontId="5" fillId="0" borderId="1" xfId="0" applyNumberFormat="1" applyFont="1" applyBorder="1" applyAlignment="1" applyProtection="1">
      <alignment horizontal="center" vertical="center"/>
    </xf>
    <xf numFmtId="166" fontId="6" fillId="0" borderId="1" xfId="0" applyNumberFormat="1" applyFont="1" applyBorder="1" applyAlignment="1" applyProtection="1">
      <alignment horizontal="center" vertical="center"/>
    </xf>
    <xf numFmtId="165" fontId="6" fillId="0" borderId="1" xfId="0" applyNumberFormat="1" applyFont="1" applyBorder="1" applyAlignment="1" applyProtection="1">
      <alignment horizontal="center" vertical="center"/>
    </xf>
    <xf numFmtId="49" fontId="7" fillId="0" borderId="1" xfId="0" applyNumberFormat="1" applyFont="1" applyBorder="1" applyAlignment="1" applyProtection="1">
      <alignment horizontal="center" vertical="center" wrapText="1"/>
    </xf>
    <xf numFmtId="165" fontId="6" fillId="0" borderId="6" xfId="0" applyNumberFormat="1" applyFont="1" applyBorder="1" applyAlignment="1" applyProtection="1">
      <alignment horizontal="center"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I146"/>
  <sheetViews>
    <sheetView showGridLines="0" tabSelected="1" workbookViewId="0">
      <selection activeCell="H74" sqref="H74"/>
    </sheetView>
  </sheetViews>
  <sheetFormatPr defaultRowHeight="12.75" customHeight="1" x14ac:dyDescent="0.2"/>
  <cols>
    <col min="1" max="1" width="60.7109375" style="10" customWidth="1"/>
    <col min="2" max="2" width="7.42578125" customWidth="1"/>
    <col min="3" max="3" width="19" customWidth="1"/>
    <col min="4" max="4" width="13.85546875" customWidth="1"/>
    <col min="5" max="5" width="9.140625" customWidth="1"/>
    <col min="6" max="6" width="13.140625" customWidth="1"/>
    <col min="7" max="9" width="9.140625" customWidth="1"/>
  </cols>
  <sheetData>
    <row r="1" spans="1:9" ht="3.75" customHeight="1" x14ac:dyDescent="0.2">
      <c r="A1" s="7"/>
      <c r="B1" s="43" t="s">
        <v>193</v>
      </c>
      <c r="C1" s="44"/>
      <c r="D1" s="44"/>
      <c r="E1" s="1"/>
      <c r="F1" s="1"/>
      <c r="G1" s="1"/>
      <c r="H1" s="1"/>
      <c r="I1" s="1"/>
    </row>
    <row r="2" spans="1:9" ht="12.75" customHeight="1" x14ac:dyDescent="0.2">
      <c r="A2" s="7"/>
      <c r="B2" s="44"/>
      <c r="C2" s="44"/>
      <c r="D2" s="44"/>
      <c r="E2" s="3"/>
      <c r="F2" s="4"/>
      <c r="G2" s="2"/>
      <c r="H2" s="1"/>
      <c r="I2" s="1"/>
    </row>
    <row r="3" spans="1:9" ht="14.25" x14ac:dyDescent="0.2">
      <c r="A3" s="8"/>
      <c r="B3" s="44"/>
      <c r="C3" s="44"/>
      <c r="D3" s="44"/>
      <c r="E3" s="1"/>
      <c r="F3" s="1"/>
      <c r="G3" s="1"/>
      <c r="H3" s="1"/>
      <c r="I3" s="1"/>
    </row>
    <row r="4" spans="1:9" ht="12.75" customHeight="1" x14ac:dyDescent="0.2">
      <c r="A4" s="8"/>
      <c r="B4" s="44"/>
      <c r="C4" s="44"/>
      <c r="D4" s="44"/>
      <c r="E4" s="1"/>
      <c r="F4" s="1"/>
      <c r="G4" s="1"/>
      <c r="H4" s="1"/>
      <c r="I4" s="1"/>
    </row>
    <row r="5" spans="1:9" ht="12.75" customHeight="1" x14ac:dyDescent="0.2">
      <c r="A5" s="9"/>
      <c r="B5" s="44"/>
      <c r="C5" s="44"/>
      <c r="D5" s="44"/>
      <c r="E5" s="1"/>
      <c r="F5" s="1"/>
      <c r="G5" s="1"/>
      <c r="H5" s="1"/>
      <c r="I5" s="1"/>
    </row>
    <row r="6" spans="1:9" ht="2.25" customHeight="1" x14ac:dyDescent="0.2">
      <c r="A6" s="9"/>
      <c r="B6" s="6"/>
      <c r="C6" s="6"/>
      <c r="D6" s="6"/>
      <c r="E6" s="6"/>
      <c r="F6" s="6"/>
      <c r="G6" s="6"/>
      <c r="H6" s="6"/>
      <c r="I6" s="6"/>
    </row>
    <row r="7" spans="1:9" ht="42" customHeight="1" x14ac:dyDescent="0.2">
      <c r="A7" s="45" t="s">
        <v>194</v>
      </c>
      <c r="B7" s="45"/>
      <c r="C7" s="45"/>
      <c r="D7" s="45"/>
      <c r="E7" s="6"/>
      <c r="F7" s="6"/>
      <c r="G7" s="5"/>
      <c r="H7" s="5"/>
      <c r="I7" s="5"/>
    </row>
    <row r="8" spans="1:9" ht="1.5" customHeight="1" x14ac:dyDescent="0.2">
      <c r="B8" s="6"/>
      <c r="C8" s="6"/>
      <c r="D8" s="6"/>
      <c r="E8" s="6"/>
      <c r="F8" s="6"/>
      <c r="G8" s="5"/>
      <c r="H8" s="5"/>
      <c r="I8" s="5"/>
    </row>
    <row r="9" spans="1:9" x14ac:dyDescent="0.2">
      <c r="A9" s="9"/>
      <c r="B9" s="1"/>
      <c r="C9" s="1"/>
      <c r="D9" s="3" t="s">
        <v>227</v>
      </c>
      <c r="E9" s="1"/>
      <c r="F9" s="1"/>
      <c r="G9" s="1"/>
      <c r="H9" s="1"/>
      <c r="I9" s="1"/>
    </row>
    <row r="10" spans="1:9" x14ac:dyDescent="0.2">
      <c r="A10" s="19" t="s">
        <v>1</v>
      </c>
      <c r="B10" s="19" t="s">
        <v>78</v>
      </c>
      <c r="C10" s="19" t="s">
        <v>0</v>
      </c>
      <c r="D10" s="19" t="s">
        <v>2</v>
      </c>
    </row>
    <row r="11" spans="1:9" ht="12.75" customHeight="1" x14ac:dyDescent="0.2">
      <c r="A11" s="46" t="s">
        <v>4</v>
      </c>
      <c r="B11" s="46"/>
      <c r="C11" s="46"/>
      <c r="D11" s="46"/>
    </row>
    <row r="12" spans="1:9" ht="22.5" x14ac:dyDescent="0.2">
      <c r="A12" s="20" t="s">
        <v>195</v>
      </c>
      <c r="B12" s="20" t="s">
        <v>3</v>
      </c>
      <c r="C12" s="20" t="s">
        <v>196</v>
      </c>
      <c r="D12" s="21">
        <f>11.06/1000</f>
        <v>1.106E-2</v>
      </c>
    </row>
    <row r="13" spans="1:9" ht="33.75" x14ac:dyDescent="0.2">
      <c r="A13" s="20" t="s">
        <v>6</v>
      </c>
      <c r="B13" s="20" t="s">
        <v>3</v>
      </c>
      <c r="C13" s="20" t="s">
        <v>5</v>
      </c>
      <c r="D13" s="41">
        <f>80466.36/1000</f>
        <v>80.466359999999995</v>
      </c>
    </row>
    <row r="14" spans="1:9" s="14" customFormat="1" ht="33.75" x14ac:dyDescent="0.2">
      <c r="A14" s="20" t="s">
        <v>166</v>
      </c>
      <c r="B14" s="20" t="s">
        <v>3</v>
      </c>
      <c r="C14" s="20" t="s">
        <v>167</v>
      </c>
      <c r="D14" s="41">
        <f>136.1/1000</f>
        <v>0.1361</v>
      </c>
    </row>
    <row r="15" spans="1:9" s="12" customFormat="1" ht="33.75" x14ac:dyDescent="0.2">
      <c r="A15" s="20" t="s">
        <v>8</v>
      </c>
      <c r="B15" s="20" t="s">
        <v>3</v>
      </c>
      <c r="C15" s="20" t="s">
        <v>7</v>
      </c>
      <c r="D15" s="41">
        <f>123845.94/1000</f>
        <v>123.84594</v>
      </c>
    </row>
    <row r="16" spans="1:9" s="15" customFormat="1" ht="33.75" x14ac:dyDescent="0.2">
      <c r="A16" s="20" t="s">
        <v>10</v>
      </c>
      <c r="B16" s="20" t="s">
        <v>3</v>
      </c>
      <c r="C16" s="20" t="s">
        <v>9</v>
      </c>
      <c r="D16" s="41">
        <f>1063496.08/1000</f>
        <v>1063.4960800000001</v>
      </c>
    </row>
    <row r="17" spans="1:4" s="13" customFormat="1" ht="56.25" x14ac:dyDescent="0.2">
      <c r="A17" s="22" t="s">
        <v>197</v>
      </c>
      <c r="B17" s="20" t="s">
        <v>3</v>
      </c>
      <c r="C17" s="20" t="s">
        <v>198</v>
      </c>
      <c r="D17" s="41">
        <f>170000/1000</f>
        <v>170</v>
      </c>
    </row>
    <row r="18" spans="1:4" s="11" customFormat="1" x14ac:dyDescent="0.2">
      <c r="A18" s="55" t="s">
        <v>139</v>
      </c>
      <c r="B18" s="55"/>
      <c r="C18" s="55"/>
      <c r="D18" s="55"/>
    </row>
    <row r="19" spans="1:4" ht="78.75" x14ac:dyDescent="0.2">
      <c r="A19" s="22" t="s">
        <v>199</v>
      </c>
      <c r="B19" s="20" t="s">
        <v>15</v>
      </c>
      <c r="C19" s="20" t="s">
        <v>16</v>
      </c>
      <c r="D19" s="21">
        <f>144589153.33/1000</f>
        <v>144589.15333</v>
      </c>
    </row>
    <row r="20" spans="1:4" ht="78.75" x14ac:dyDescent="0.2">
      <c r="A20" s="22" t="s">
        <v>200</v>
      </c>
      <c r="B20" s="20" t="s">
        <v>15</v>
      </c>
      <c r="C20" s="20" t="s">
        <v>17</v>
      </c>
      <c r="D20" s="21">
        <f>16303.37/1000</f>
        <v>16.303370000000001</v>
      </c>
    </row>
    <row r="21" spans="1:4" ht="12.75" customHeight="1" x14ac:dyDescent="0.2">
      <c r="A21" s="22" t="s">
        <v>19</v>
      </c>
      <c r="B21" s="20" t="s">
        <v>15</v>
      </c>
      <c r="C21" s="20" t="s">
        <v>18</v>
      </c>
      <c r="D21" s="21">
        <f>330827.94/1000</f>
        <v>330.82794000000001</v>
      </c>
    </row>
    <row r="22" spans="1:4" ht="78.75" x14ac:dyDescent="0.2">
      <c r="A22" s="22" t="s">
        <v>21</v>
      </c>
      <c r="B22" s="20" t="s">
        <v>15</v>
      </c>
      <c r="C22" s="20" t="s">
        <v>20</v>
      </c>
      <c r="D22" s="21">
        <f>93.75/1000</f>
        <v>9.375E-2</v>
      </c>
    </row>
    <row r="23" spans="1:4" ht="45" x14ac:dyDescent="0.2">
      <c r="A23" s="20" t="s">
        <v>23</v>
      </c>
      <c r="B23" s="20" t="s">
        <v>15</v>
      </c>
      <c r="C23" s="20" t="s">
        <v>22</v>
      </c>
      <c r="D23" s="21">
        <f>1319598.31/1000</f>
        <v>1319.5983100000001</v>
      </c>
    </row>
    <row r="24" spans="1:4" ht="45" x14ac:dyDescent="0.2">
      <c r="A24" s="20" t="s">
        <v>25</v>
      </c>
      <c r="B24" s="20" t="s">
        <v>15</v>
      </c>
      <c r="C24" s="20" t="s">
        <v>24</v>
      </c>
      <c r="D24" s="21">
        <f>15099.08/1000</f>
        <v>15.099080000000001</v>
      </c>
    </row>
    <row r="25" spans="1:4" ht="67.5" x14ac:dyDescent="0.2">
      <c r="A25" s="22" t="s">
        <v>121</v>
      </c>
      <c r="B25" s="20" t="s">
        <v>15</v>
      </c>
      <c r="C25" s="20" t="s">
        <v>26</v>
      </c>
      <c r="D25" s="21">
        <f>171440.62/1000</f>
        <v>171.44062</v>
      </c>
    </row>
    <row r="26" spans="1:4" ht="60" customHeight="1" x14ac:dyDescent="0.2">
      <c r="A26" s="22" t="s">
        <v>201</v>
      </c>
      <c r="B26" s="20" t="s">
        <v>15</v>
      </c>
      <c r="C26" s="20" t="s">
        <v>122</v>
      </c>
      <c r="D26" s="21">
        <f>50019.19/1000</f>
        <v>50.019190000000002</v>
      </c>
    </row>
    <row r="27" spans="1:4" ht="45" x14ac:dyDescent="0.2">
      <c r="A27" s="22" t="s">
        <v>168</v>
      </c>
      <c r="B27" s="20" t="s">
        <v>15</v>
      </c>
      <c r="C27" s="20" t="s">
        <v>171</v>
      </c>
      <c r="D27" s="21">
        <f>705156.9/1000</f>
        <v>705.15690000000006</v>
      </c>
    </row>
    <row r="28" spans="1:4" ht="45" x14ac:dyDescent="0.2">
      <c r="A28" s="22" t="s">
        <v>169</v>
      </c>
      <c r="B28" s="20" t="s">
        <v>15</v>
      </c>
      <c r="C28" s="20" t="s">
        <v>172</v>
      </c>
      <c r="D28" s="21">
        <f>120768.75/1000</f>
        <v>120.76875</v>
      </c>
    </row>
    <row r="29" spans="1:4" ht="67.5" x14ac:dyDescent="0.2">
      <c r="A29" s="22" t="s">
        <v>117</v>
      </c>
      <c r="B29" s="20" t="s">
        <v>15</v>
      </c>
      <c r="C29" s="20" t="s">
        <v>11</v>
      </c>
      <c r="D29" s="21">
        <f>4157918.12/1000</f>
        <v>4157.9181200000003</v>
      </c>
    </row>
    <row r="30" spans="1:4" ht="67.5" x14ac:dyDescent="0.2">
      <c r="A30" s="22" t="s">
        <v>118</v>
      </c>
      <c r="B30" s="20" t="s">
        <v>15</v>
      </c>
      <c r="C30" s="20" t="s">
        <v>12</v>
      </c>
      <c r="D30" s="21">
        <f>24023.97/1000</f>
        <v>24.023970000000002</v>
      </c>
    </row>
    <row r="31" spans="1:4" ht="67.5" x14ac:dyDescent="0.2">
      <c r="A31" s="22" t="s">
        <v>119</v>
      </c>
      <c r="B31" s="20" t="s">
        <v>15</v>
      </c>
      <c r="C31" s="20" t="s">
        <v>13</v>
      </c>
      <c r="D31" s="21">
        <f>4318707.2/1000</f>
        <v>4318.7071999999998</v>
      </c>
    </row>
    <row r="32" spans="1:4" ht="67.5" x14ac:dyDescent="0.2">
      <c r="A32" s="22" t="s">
        <v>120</v>
      </c>
      <c r="B32" s="20" t="s">
        <v>15</v>
      </c>
      <c r="C32" s="20" t="s">
        <v>14</v>
      </c>
      <c r="D32" s="21">
        <f>-452583.96/1000</f>
        <v>-452.58396000000005</v>
      </c>
    </row>
    <row r="33" spans="1:4" ht="33.75" x14ac:dyDescent="0.2">
      <c r="A33" s="20" t="s">
        <v>28</v>
      </c>
      <c r="B33" s="20" t="s">
        <v>15</v>
      </c>
      <c r="C33" s="20" t="s">
        <v>27</v>
      </c>
      <c r="D33" s="21">
        <f>20470742.54/1000</f>
        <v>20470.742539999999</v>
      </c>
    </row>
    <row r="34" spans="1:4" ht="33.75" x14ac:dyDescent="0.2">
      <c r="A34" s="20" t="s">
        <v>30</v>
      </c>
      <c r="B34" s="20" t="s">
        <v>15</v>
      </c>
      <c r="C34" s="20" t="s">
        <v>29</v>
      </c>
      <c r="D34" s="21">
        <f>7832.7/1000</f>
        <v>7.8327</v>
      </c>
    </row>
    <row r="35" spans="1:4" ht="56.25" x14ac:dyDescent="0.2">
      <c r="A35" s="22" t="s">
        <v>32</v>
      </c>
      <c r="B35" s="20" t="s">
        <v>15</v>
      </c>
      <c r="C35" s="20" t="s">
        <v>31</v>
      </c>
      <c r="D35" s="21">
        <f>7793171.44/1000</f>
        <v>7793.1714400000001</v>
      </c>
    </row>
    <row r="36" spans="1:4" ht="56.25" x14ac:dyDescent="0.2">
      <c r="A36" s="22" t="s">
        <v>34</v>
      </c>
      <c r="B36" s="20" t="s">
        <v>15</v>
      </c>
      <c r="C36" s="20" t="s">
        <v>33</v>
      </c>
      <c r="D36" s="21">
        <f>1762.2/1000</f>
        <v>1.7622</v>
      </c>
    </row>
    <row r="37" spans="1:4" ht="33.75" x14ac:dyDescent="0.2">
      <c r="A37" s="20" t="s">
        <v>36</v>
      </c>
      <c r="B37" s="20" t="s">
        <v>15</v>
      </c>
      <c r="C37" s="20" t="s">
        <v>35</v>
      </c>
      <c r="D37" s="21">
        <f>49288.34/1000</f>
        <v>49.288339999999998</v>
      </c>
    </row>
    <row r="38" spans="1:4" ht="33.75" x14ac:dyDescent="0.2">
      <c r="A38" s="20" t="s">
        <v>38</v>
      </c>
      <c r="B38" s="20" t="s">
        <v>15</v>
      </c>
      <c r="C38" s="20" t="s">
        <v>37</v>
      </c>
      <c r="D38" s="21">
        <f>7153.19/1000</f>
        <v>7.1531899999999995</v>
      </c>
    </row>
    <row r="39" spans="1:4" ht="22.5" x14ac:dyDescent="0.2">
      <c r="A39" s="20" t="s">
        <v>40</v>
      </c>
      <c r="B39" s="20" t="s">
        <v>15</v>
      </c>
      <c r="C39" s="20" t="s">
        <v>39</v>
      </c>
      <c r="D39" s="21">
        <f>1426469.02/1000</f>
        <v>1426.46902</v>
      </c>
    </row>
    <row r="40" spans="1:4" ht="45" x14ac:dyDescent="0.2">
      <c r="A40" s="20" t="s">
        <v>42</v>
      </c>
      <c r="B40" s="20" t="s">
        <v>15</v>
      </c>
      <c r="C40" s="20" t="s">
        <v>41</v>
      </c>
      <c r="D40" s="21">
        <f>4140576.92/1000</f>
        <v>4140.5769199999995</v>
      </c>
    </row>
    <row r="41" spans="1:4" ht="33.75" x14ac:dyDescent="0.2">
      <c r="A41" s="20" t="s">
        <v>123</v>
      </c>
      <c r="B41" s="20" t="s">
        <v>15</v>
      </c>
      <c r="C41" s="20" t="s">
        <v>124</v>
      </c>
      <c r="D41" s="21">
        <f>8885464.17/1000</f>
        <v>8885.4641699999993</v>
      </c>
    </row>
    <row r="42" spans="1:4" ht="45" x14ac:dyDescent="0.2">
      <c r="A42" s="22" t="s">
        <v>125</v>
      </c>
      <c r="B42" s="20" t="s">
        <v>15</v>
      </c>
      <c r="C42" s="20" t="s">
        <v>126</v>
      </c>
      <c r="D42" s="21">
        <f>109927.71/1000</f>
        <v>109.92771</v>
      </c>
    </row>
    <row r="43" spans="1:4" ht="45" x14ac:dyDescent="0.2">
      <c r="A43" s="20" t="s">
        <v>202</v>
      </c>
      <c r="B43" s="20" t="s">
        <v>15</v>
      </c>
      <c r="C43" s="20" t="s">
        <v>203</v>
      </c>
      <c r="D43" s="21">
        <f>627.5/1000</f>
        <v>0.62749999999999995</v>
      </c>
    </row>
    <row r="44" spans="1:4" ht="67.5" x14ac:dyDescent="0.2">
      <c r="A44" s="22" t="s">
        <v>170</v>
      </c>
      <c r="B44" s="20" t="s">
        <v>15</v>
      </c>
      <c r="C44" s="20" t="s">
        <v>173</v>
      </c>
      <c r="D44" s="21">
        <f>312106.18/1000</f>
        <v>312.10617999999999</v>
      </c>
    </row>
    <row r="45" spans="1:4" s="11" customFormat="1" hidden="1" x14ac:dyDescent="0.2">
      <c r="A45" s="55" t="s">
        <v>140</v>
      </c>
      <c r="B45" s="55"/>
      <c r="C45" s="55"/>
      <c r="D45" s="55"/>
    </row>
    <row r="46" spans="1:4" ht="90" hidden="1" x14ac:dyDescent="0.2">
      <c r="A46" s="23" t="s">
        <v>174</v>
      </c>
      <c r="B46" s="24" t="s">
        <v>43</v>
      </c>
      <c r="C46" s="24" t="s">
        <v>80</v>
      </c>
      <c r="D46" s="25"/>
    </row>
    <row r="47" spans="1:4" s="13" customFormat="1" hidden="1" x14ac:dyDescent="0.2">
      <c r="A47" s="58" t="s">
        <v>191</v>
      </c>
      <c r="B47" s="59"/>
      <c r="C47" s="59"/>
      <c r="D47" s="60"/>
    </row>
    <row r="48" spans="1:4" s="13" customFormat="1" ht="78.75" hidden="1" x14ac:dyDescent="0.2">
      <c r="A48" s="26" t="s">
        <v>79</v>
      </c>
      <c r="B48" s="27" t="s">
        <v>192</v>
      </c>
      <c r="C48" s="28" t="s">
        <v>80</v>
      </c>
      <c r="D48" s="29"/>
    </row>
    <row r="49" spans="1:4" s="12" customFormat="1" x14ac:dyDescent="0.2">
      <c r="A49" s="51" t="s">
        <v>165</v>
      </c>
      <c r="B49" s="52"/>
      <c r="C49" s="52"/>
      <c r="D49" s="53"/>
    </row>
    <row r="50" spans="1:4" s="12" customFormat="1" x14ac:dyDescent="0.2">
      <c r="A50" s="20" t="s">
        <v>159</v>
      </c>
      <c r="B50" s="20" t="s">
        <v>160</v>
      </c>
      <c r="C50" s="20" t="s">
        <v>161</v>
      </c>
      <c r="D50" s="21">
        <f>52350.24/1000</f>
        <v>52.350239999999999</v>
      </c>
    </row>
    <row r="51" spans="1:4" s="13" customFormat="1" ht="56.25" x14ac:dyDescent="0.2">
      <c r="A51" s="22" t="s">
        <v>110</v>
      </c>
      <c r="B51" s="30" t="s">
        <v>160</v>
      </c>
      <c r="C51" s="20" t="s">
        <v>162</v>
      </c>
      <c r="D51" s="21">
        <f>124000/1000</f>
        <v>124</v>
      </c>
    </row>
    <row r="52" spans="1:4" s="12" customFormat="1" x14ac:dyDescent="0.2">
      <c r="A52" s="20" t="s">
        <v>163</v>
      </c>
      <c r="B52" s="20" t="s">
        <v>160</v>
      </c>
      <c r="C52" s="20" t="s">
        <v>164</v>
      </c>
      <c r="D52" s="21">
        <f>275787.96/1000</f>
        <v>275.78796</v>
      </c>
    </row>
    <row r="53" spans="1:4" s="11" customFormat="1" x14ac:dyDescent="0.2">
      <c r="A53" s="56" t="s">
        <v>141</v>
      </c>
      <c r="B53" s="56"/>
      <c r="C53" s="56"/>
      <c r="D53" s="56"/>
    </row>
    <row r="54" spans="1:4" ht="45" x14ac:dyDescent="0.2">
      <c r="A54" s="22" t="s">
        <v>81</v>
      </c>
      <c r="B54" s="20" t="s">
        <v>82</v>
      </c>
      <c r="C54" s="20" t="s">
        <v>83</v>
      </c>
      <c r="D54" s="21">
        <f>7352.19/1000</f>
        <v>7.3521899999999993</v>
      </c>
    </row>
    <row r="55" spans="1:4" ht="56.25" x14ac:dyDescent="0.2">
      <c r="A55" s="22" t="s">
        <v>84</v>
      </c>
      <c r="B55" s="20" t="s">
        <v>82</v>
      </c>
      <c r="C55" s="20" t="s">
        <v>85</v>
      </c>
      <c r="D55" s="21">
        <f>3000/1000</f>
        <v>3</v>
      </c>
    </row>
    <row r="56" spans="1:4" ht="56.25" x14ac:dyDescent="0.2">
      <c r="A56" s="22" t="s">
        <v>84</v>
      </c>
      <c r="B56" s="20" t="s">
        <v>82</v>
      </c>
      <c r="C56" s="20" t="s">
        <v>97</v>
      </c>
      <c r="D56" s="21">
        <f>6263.59/1000</f>
        <v>6.2635899999999998</v>
      </c>
    </row>
    <row r="57" spans="1:4" ht="56.25" x14ac:dyDescent="0.2">
      <c r="A57" s="22" t="s">
        <v>84</v>
      </c>
      <c r="B57" s="20" t="s">
        <v>82</v>
      </c>
      <c r="C57" s="20" t="s">
        <v>86</v>
      </c>
      <c r="D57" s="21">
        <f>1000.11/1000</f>
        <v>1.0001100000000001</v>
      </c>
    </row>
    <row r="58" spans="1:4" ht="56.25" x14ac:dyDescent="0.2">
      <c r="A58" s="22" t="s">
        <v>90</v>
      </c>
      <c r="B58" s="20" t="s">
        <v>82</v>
      </c>
      <c r="C58" s="20" t="s">
        <v>91</v>
      </c>
      <c r="D58" s="21">
        <f>1750/1000</f>
        <v>1.75</v>
      </c>
    </row>
    <row r="59" spans="1:4" s="12" customFormat="1" hidden="1" x14ac:dyDescent="0.2">
      <c r="A59" s="48"/>
      <c r="B59" s="49"/>
      <c r="C59" s="49"/>
      <c r="D59" s="50"/>
    </row>
    <row r="60" spans="1:4" s="12" customFormat="1" hidden="1" x14ac:dyDescent="0.2">
      <c r="A60" s="31"/>
      <c r="B60" s="32"/>
      <c r="C60" s="32"/>
      <c r="D60" s="33"/>
    </row>
    <row r="61" spans="1:4" s="12" customFormat="1" hidden="1" x14ac:dyDescent="0.2">
      <c r="A61" s="31"/>
      <c r="B61" s="32"/>
      <c r="C61" s="32"/>
      <c r="D61" s="33"/>
    </row>
    <row r="62" spans="1:4" s="12" customFormat="1" hidden="1" x14ac:dyDescent="0.2">
      <c r="A62" s="31"/>
      <c r="B62" s="32"/>
      <c r="C62" s="32"/>
      <c r="D62" s="33"/>
    </row>
    <row r="63" spans="1:4" s="12" customFormat="1" hidden="1" x14ac:dyDescent="0.2">
      <c r="A63" s="31"/>
      <c r="B63" s="32"/>
      <c r="C63" s="32"/>
      <c r="D63" s="33"/>
    </row>
    <row r="64" spans="1:4" s="11" customFormat="1" x14ac:dyDescent="0.2">
      <c r="A64" s="56" t="s">
        <v>142</v>
      </c>
      <c r="B64" s="56"/>
      <c r="C64" s="56"/>
      <c r="D64" s="56"/>
    </row>
    <row r="65" spans="1:4" x14ac:dyDescent="0.2">
      <c r="A65" s="20" t="s">
        <v>106</v>
      </c>
      <c r="B65" s="20" t="s">
        <v>94</v>
      </c>
      <c r="C65" s="20" t="s">
        <v>177</v>
      </c>
      <c r="D65" s="21">
        <f>17500/1000</f>
        <v>17.5</v>
      </c>
    </row>
    <row r="66" spans="1:4" ht="45" x14ac:dyDescent="0.2">
      <c r="A66" s="22" t="s">
        <v>81</v>
      </c>
      <c r="B66" s="20" t="s">
        <v>94</v>
      </c>
      <c r="C66" s="20" t="s">
        <v>95</v>
      </c>
      <c r="D66" s="21">
        <f>5000/1000</f>
        <v>5</v>
      </c>
    </row>
    <row r="67" spans="1:4" ht="22.5" x14ac:dyDescent="0.2">
      <c r="A67" s="20" t="s">
        <v>176</v>
      </c>
      <c r="B67" s="20" t="s">
        <v>94</v>
      </c>
      <c r="C67" s="20" t="s">
        <v>178</v>
      </c>
      <c r="D67" s="21">
        <f>6500/1000</f>
        <v>6.5</v>
      </c>
    </row>
    <row r="68" spans="1:4" ht="56.25" x14ac:dyDescent="0.2">
      <c r="A68" s="22" t="s">
        <v>84</v>
      </c>
      <c r="B68" s="20" t="s">
        <v>94</v>
      </c>
      <c r="C68" s="20" t="s">
        <v>85</v>
      </c>
      <c r="D68" s="21">
        <f>49791.04/1000</f>
        <v>49.791040000000002</v>
      </c>
    </row>
    <row r="69" spans="1:4" ht="56.25" x14ac:dyDescent="0.2">
      <c r="A69" s="22" t="s">
        <v>84</v>
      </c>
      <c r="B69" s="20" t="s">
        <v>94</v>
      </c>
      <c r="C69" s="20" t="s">
        <v>96</v>
      </c>
      <c r="D69" s="21">
        <f>4101.53/1000</f>
        <v>4.1015299999999995</v>
      </c>
    </row>
    <row r="70" spans="1:4" ht="56.25" x14ac:dyDescent="0.2">
      <c r="A70" s="22" t="s">
        <v>84</v>
      </c>
      <c r="B70" s="20" t="s">
        <v>94</v>
      </c>
      <c r="C70" s="20" t="s">
        <v>97</v>
      </c>
      <c r="D70" s="21">
        <f>121763.66/1000</f>
        <v>121.76366</v>
      </c>
    </row>
    <row r="71" spans="1:4" ht="45" x14ac:dyDescent="0.2">
      <c r="A71" s="20" t="s">
        <v>127</v>
      </c>
      <c r="B71" s="20" t="s">
        <v>94</v>
      </c>
      <c r="C71" s="20" t="s">
        <v>128</v>
      </c>
      <c r="D71" s="21">
        <f>257.72/1000</f>
        <v>0.25772</v>
      </c>
    </row>
    <row r="72" spans="1:4" ht="45" x14ac:dyDescent="0.2">
      <c r="A72" s="22" t="s">
        <v>87</v>
      </c>
      <c r="B72" s="20" t="s">
        <v>94</v>
      </c>
      <c r="C72" s="20" t="s">
        <v>88</v>
      </c>
      <c r="D72" s="21">
        <f>4473.78/1000</f>
        <v>4.4737799999999996</v>
      </c>
    </row>
    <row r="73" spans="1:4" s="13" customFormat="1" ht="56.25" x14ac:dyDescent="0.2">
      <c r="A73" s="22" t="s">
        <v>98</v>
      </c>
      <c r="B73" s="20" t="s">
        <v>94</v>
      </c>
      <c r="C73" s="20" t="s">
        <v>99</v>
      </c>
      <c r="D73" s="21">
        <f>6750/1000</f>
        <v>6.75</v>
      </c>
    </row>
    <row r="74" spans="1:4" s="13" customFormat="1" ht="56.25" x14ac:dyDescent="0.2">
      <c r="A74" s="22" t="s">
        <v>100</v>
      </c>
      <c r="B74" s="20" t="s">
        <v>94</v>
      </c>
      <c r="C74" s="20" t="s">
        <v>101</v>
      </c>
      <c r="D74" s="21">
        <f>763.08/1000</f>
        <v>0.76308000000000009</v>
      </c>
    </row>
    <row r="75" spans="1:4" s="13" customFormat="1" ht="56.25" x14ac:dyDescent="0.2">
      <c r="A75" s="22" t="s">
        <v>100</v>
      </c>
      <c r="B75" s="20" t="s">
        <v>94</v>
      </c>
      <c r="C75" s="20" t="s">
        <v>204</v>
      </c>
      <c r="D75" s="21">
        <f>25000/1000</f>
        <v>25</v>
      </c>
    </row>
    <row r="76" spans="1:4" s="13" customFormat="1" ht="56.25" x14ac:dyDescent="0.2">
      <c r="A76" s="22" t="s">
        <v>100</v>
      </c>
      <c r="B76" s="20" t="s">
        <v>94</v>
      </c>
      <c r="C76" s="20" t="s">
        <v>179</v>
      </c>
      <c r="D76" s="21">
        <f>37500/1000</f>
        <v>37.5</v>
      </c>
    </row>
    <row r="77" spans="1:4" s="13" customFormat="1" ht="56.25" x14ac:dyDescent="0.2">
      <c r="A77" s="22" t="s">
        <v>100</v>
      </c>
      <c r="B77" s="20" t="s">
        <v>94</v>
      </c>
      <c r="C77" s="20" t="s">
        <v>102</v>
      </c>
      <c r="D77" s="21">
        <f>12250/1000</f>
        <v>12.25</v>
      </c>
    </row>
    <row r="78" spans="1:4" ht="67.5" x14ac:dyDescent="0.2">
      <c r="A78" s="22" t="s">
        <v>103</v>
      </c>
      <c r="B78" s="20" t="s">
        <v>94</v>
      </c>
      <c r="C78" s="20" t="s">
        <v>104</v>
      </c>
      <c r="D78" s="21">
        <f>4750/1000</f>
        <v>4.75</v>
      </c>
    </row>
    <row r="79" spans="1:4" ht="67.5" x14ac:dyDescent="0.2">
      <c r="A79" s="22" t="s">
        <v>103</v>
      </c>
      <c r="B79" s="20" t="s">
        <v>94</v>
      </c>
      <c r="C79" s="20" t="s">
        <v>105</v>
      </c>
      <c r="D79" s="21">
        <f>-20143.01/1000</f>
        <v>-20.143009999999997</v>
      </c>
    </row>
    <row r="80" spans="1:4" x14ac:dyDescent="0.2">
      <c r="A80" s="20" t="s">
        <v>106</v>
      </c>
      <c r="B80" s="20" t="s">
        <v>94</v>
      </c>
      <c r="C80" s="20" t="s">
        <v>107</v>
      </c>
      <c r="D80" s="21">
        <f>5825/1000</f>
        <v>5.8250000000000002</v>
      </c>
    </row>
    <row r="81" spans="1:4" x14ac:dyDescent="0.2">
      <c r="A81" s="20" t="s">
        <v>108</v>
      </c>
      <c r="B81" s="20" t="s">
        <v>94</v>
      </c>
      <c r="C81" s="20" t="s">
        <v>180</v>
      </c>
      <c r="D81" s="21">
        <f>1850.01/1000</f>
        <v>1.8500099999999999</v>
      </c>
    </row>
    <row r="82" spans="1:4" ht="45" x14ac:dyDescent="0.2">
      <c r="A82" s="22" t="s">
        <v>89</v>
      </c>
      <c r="B82" s="20" t="s">
        <v>94</v>
      </c>
      <c r="C82" s="20" t="s">
        <v>109</v>
      </c>
      <c r="D82" s="21">
        <f>86505.01/1000</f>
        <v>86.505009999999999</v>
      </c>
    </row>
    <row r="83" spans="1:4" ht="45" x14ac:dyDescent="0.2">
      <c r="A83" s="22" t="s">
        <v>89</v>
      </c>
      <c r="B83" s="20" t="s">
        <v>94</v>
      </c>
      <c r="C83" s="20" t="s">
        <v>175</v>
      </c>
      <c r="D83" s="21">
        <f>50/1000</f>
        <v>0.05</v>
      </c>
    </row>
    <row r="84" spans="1:4" ht="56.25" x14ac:dyDescent="0.2">
      <c r="A84" s="22" t="s">
        <v>129</v>
      </c>
      <c r="B84" s="20" t="s">
        <v>94</v>
      </c>
      <c r="C84" s="20" t="s">
        <v>181</v>
      </c>
      <c r="D84" s="21">
        <f>5000/1000</f>
        <v>5</v>
      </c>
    </row>
    <row r="85" spans="1:4" ht="56.25" x14ac:dyDescent="0.2">
      <c r="A85" s="22" t="s">
        <v>90</v>
      </c>
      <c r="B85" s="20" t="s">
        <v>94</v>
      </c>
      <c r="C85" s="20" t="s">
        <v>91</v>
      </c>
      <c r="D85" s="21">
        <f>336287.46/1000</f>
        <v>336.28746000000001</v>
      </c>
    </row>
    <row r="86" spans="1:4" x14ac:dyDescent="0.2">
      <c r="A86" s="20" t="s">
        <v>92</v>
      </c>
      <c r="B86" s="20" t="s">
        <v>94</v>
      </c>
      <c r="C86" s="20" t="s">
        <v>93</v>
      </c>
      <c r="D86" s="21">
        <f>250/1000</f>
        <v>0.25</v>
      </c>
    </row>
    <row r="87" spans="1:4" x14ac:dyDescent="0.2">
      <c r="A87" s="20" t="s">
        <v>205</v>
      </c>
      <c r="B87" s="20" t="s">
        <v>94</v>
      </c>
      <c r="C87" s="20" t="s">
        <v>206</v>
      </c>
      <c r="D87" s="21">
        <f>7500/1000</f>
        <v>7.5</v>
      </c>
    </row>
    <row r="88" spans="1:4" ht="22.5" x14ac:dyDescent="0.2">
      <c r="A88" s="20" t="s">
        <v>207</v>
      </c>
      <c r="B88" s="20" t="s">
        <v>94</v>
      </c>
      <c r="C88" s="20" t="s">
        <v>208</v>
      </c>
      <c r="D88" s="21">
        <f>750/1000</f>
        <v>0.75</v>
      </c>
    </row>
    <row r="89" spans="1:4" ht="45" x14ac:dyDescent="0.2">
      <c r="A89" s="22" t="s">
        <v>209</v>
      </c>
      <c r="B89" s="20" t="s">
        <v>94</v>
      </c>
      <c r="C89" s="20" t="s">
        <v>210</v>
      </c>
      <c r="D89" s="21">
        <f>10000/1000</f>
        <v>10</v>
      </c>
    </row>
    <row r="90" spans="1:4" x14ac:dyDescent="0.2">
      <c r="A90" s="20" t="s">
        <v>108</v>
      </c>
      <c r="B90" s="20" t="s">
        <v>94</v>
      </c>
      <c r="C90" s="20" t="s">
        <v>130</v>
      </c>
      <c r="D90" s="21">
        <f>1500/1000</f>
        <v>1.5</v>
      </c>
    </row>
    <row r="91" spans="1:4" s="16" customFormat="1" ht="45" x14ac:dyDescent="0.2">
      <c r="A91" s="22" t="s">
        <v>131</v>
      </c>
      <c r="B91" s="20" t="s">
        <v>94</v>
      </c>
      <c r="C91" s="20" t="s">
        <v>149</v>
      </c>
      <c r="D91" s="21">
        <f>4000/1000</f>
        <v>4</v>
      </c>
    </row>
    <row r="92" spans="1:4" s="16" customFormat="1" ht="45" x14ac:dyDescent="0.2">
      <c r="A92" s="22" t="s">
        <v>131</v>
      </c>
      <c r="B92" s="20" t="s">
        <v>94</v>
      </c>
      <c r="C92" s="20" t="s">
        <v>132</v>
      </c>
      <c r="D92" s="21">
        <f>14287.17/1000</f>
        <v>14.28717</v>
      </c>
    </row>
    <row r="93" spans="1:4" s="16" customFormat="1" ht="45" x14ac:dyDescent="0.2">
      <c r="A93" s="22" t="s">
        <v>131</v>
      </c>
      <c r="B93" s="20" t="s">
        <v>94</v>
      </c>
      <c r="C93" s="20" t="s">
        <v>211</v>
      </c>
      <c r="D93" s="21">
        <f>25000/1000</f>
        <v>25</v>
      </c>
    </row>
    <row r="94" spans="1:4" ht="45" x14ac:dyDescent="0.2">
      <c r="A94" s="22" t="s">
        <v>131</v>
      </c>
      <c r="B94" s="20" t="s">
        <v>94</v>
      </c>
      <c r="C94" s="20" t="s">
        <v>182</v>
      </c>
      <c r="D94" s="21">
        <f>10000/1000</f>
        <v>10</v>
      </c>
    </row>
    <row r="95" spans="1:4" ht="56.25" x14ac:dyDescent="0.2">
      <c r="A95" s="22" t="s">
        <v>129</v>
      </c>
      <c r="B95" s="20" t="s">
        <v>94</v>
      </c>
      <c r="C95" s="20" t="s">
        <v>133</v>
      </c>
      <c r="D95" s="21">
        <f>-10500/1000</f>
        <v>-10.5</v>
      </c>
    </row>
    <row r="96" spans="1:4" ht="67.5" x14ac:dyDescent="0.2">
      <c r="A96" s="22" t="s">
        <v>150</v>
      </c>
      <c r="B96" s="20" t="s">
        <v>94</v>
      </c>
      <c r="C96" s="20" t="s">
        <v>151</v>
      </c>
      <c r="D96" s="21">
        <f>15958.59/1000</f>
        <v>15.958590000000001</v>
      </c>
    </row>
    <row r="97" spans="1:4" ht="45" x14ac:dyDescent="0.2">
      <c r="A97" s="20" t="s">
        <v>212</v>
      </c>
      <c r="B97" s="20" t="s">
        <v>94</v>
      </c>
      <c r="C97" s="20" t="s">
        <v>213</v>
      </c>
      <c r="D97" s="21">
        <f>2500/1000</f>
        <v>2.5</v>
      </c>
    </row>
    <row r="98" spans="1:4" s="11" customFormat="1" ht="20.25" customHeight="1" x14ac:dyDescent="0.2">
      <c r="A98" s="55" t="s">
        <v>143</v>
      </c>
      <c r="B98" s="55"/>
      <c r="C98" s="55"/>
      <c r="D98" s="55"/>
    </row>
    <row r="99" spans="1:4" ht="101.25" customHeight="1" x14ac:dyDescent="0.2">
      <c r="A99" s="22" t="s">
        <v>183</v>
      </c>
      <c r="B99" s="20" t="s">
        <v>44</v>
      </c>
      <c r="C99" s="20" t="s">
        <v>111</v>
      </c>
      <c r="D99" s="21">
        <f>804962.12/1000</f>
        <v>804.96212000000003</v>
      </c>
    </row>
    <row r="100" spans="1:4" s="11" customFormat="1" x14ac:dyDescent="0.2">
      <c r="A100" s="47" t="s">
        <v>215</v>
      </c>
      <c r="B100" s="47"/>
      <c r="C100" s="47"/>
      <c r="D100" s="47"/>
    </row>
    <row r="101" spans="1:4" ht="45" x14ac:dyDescent="0.2">
      <c r="A101" s="20" t="s">
        <v>214</v>
      </c>
      <c r="B101" s="20" t="s">
        <v>45</v>
      </c>
      <c r="C101" s="20" t="s">
        <v>112</v>
      </c>
      <c r="D101" s="21">
        <f>65033.61/1000</f>
        <v>65.033609999999996</v>
      </c>
    </row>
    <row r="102" spans="1:4" ht="34.5" customHeight="1" x14ac:dyDescent="0.2">
      <c r="A102" s="20" t="s">
        <v>184</v>
      </c>
      <c r="B102" s="20" t="s">
        <v>45</v>
      </c>
      <c r="C102" s="20" t="s">
        <v>152</v>
      </c>
      <c r="D102" s="21">
        <f>10000/1000</f>
        <v>10</v>
      </c>
    </row>
    <row r="103" spans="1:4" ht="24.75" customHeight="1" x14ac:dyDescent="0.2">
      <c r="A103" s="20" t="s">
        <v>113</v>
      </c>
      <c r="B103" s="20" t="s">
        <v>45</v>
      </c>
      <c r="C103" s="20" t="s">
        <v>48</v>
      </c>
      <c r="D103" s="21">
        <f>183635600/1000</f>
        <v>183635.6</v>
      </c>
    </row>
    <row r="104" spans="1:4" s="12" customFormat="1" ht="24.75" customHeight="1" x14ac:dyDescent="0.2">
      <c r="A104" s="20" t="s">
        <v>50</v>
      </c>
      <c r="B104" s="20" t="s">
        <v>45</v>
      </c>
      <c r="C104" s="20" t="s">
        <v>49</v>
      </c>
      <c r="D104" s="21">
        <f>158274600/1000</f>
        <v>158274.6</v>
      </c>
    </row>
    <row r="105" spans="1:4" s="17" customFormat="1" ht="24.75" customHeight="1" x14ac:dyDescent="0.2">
      <c r="A105" s="20" t="s">
        <v>52</v>
      </c>
      <c r="B105" s="20" t="s">
        <v>45</v>
      </c>
      <c r="C105" s="20" t="s">
        <v>51</v>
      </c>
      <c r="D105" s="21">
        <f>18350400/1000</f>
        <v>18350.400000000001</v>
      </c>
    </row>
    <row r="106" spans="1:4" s="17" customFormat="1" ht="24.75" customHeight="1" x14ac:dyDescent="0.2">
      <c r="A106" s="20" t="s">
        <v>54</v>
      </c>
      <c r="B106" s="20" t="s">
        <v>45</v>
      </c>
      <c r="C106" s="20" t="s">
        <v>53</v>
      </c>
      <c r="D106" s="21">
        <f>248768784.93/1000</f>
        <v>248768.78492999999</v>
      </c>
    </row>
    <row r="107" spans="1:4" s="17" customFormat="1" ht="24.75" customHeight="1" x14ac:dyDescent="0.2">
      <c r="A107" s="20" t="s">
        <v>58</v>
      </c>
      <c r="B107" s="20" t="s">
        <v>45</v>
      </c>
      <c r="C107" s="20" t="s">
        <v>57</v>
      </c>
      <c r="D107" s="21">
        <f>205802/1000</f>
        <v>205.80199999999999</v>
      </c>
    </row>
    <row r="108" spans="1:4" s="12" customFormat="1" ht="24.75" customHeight="1" x14ac:dyDescent="0.2">
      <c r="A108" s="20" t="s">
        <v>60</v>
      </c>
      <c r="B108" s="20" t="s">
        <v>45</v>
      </c>
      <c r="C108" s="20" t="s">
        <v>59</v>
      </c>
      <c r="D108" s="21">
        <f>8335103.8/1000</f>
        <v>8335.103799999999</v>
      </c>
    </row>
    <row r="109" spans="1:4" s="11" customFormat="1" ht="27" customHeight="1" x14ac:dyDescent="0.2">
      <c r="A109" s="57" t="s">
        <v>148</v>
      </c>
      <c r="B109" s="57"/>
      <c r="C109" s="57"/>
      <c r="D109" s="57"/>
    </row>
    <row r="110" spans="1:4" ht="25.5" customHeight="1" x14ac:dyDescent="0.2">
      <c r="A110" s="34" t="s">
        <v>47</v>
      </c>
      <c r="B110" s="34" t="s">
        <v>134</v>
      </c>
      <c r="C110" s="34" t="s">
        <v>46</v>
      </c>
      <c r="D110" s="35">
        <f>225700/1000</f>
        <v>225.7</v>
      </c>
    </row>
    <row r="111" spans="1:4" ht="22.5" x14ac:dyDescent="0.2">
      <c r="A111" s="20" t="s">
        <v>54</v>
      </c>
      <c r="B111" s="20" t="s">
        <v>134</v>
      </c>
      <c r="C111" s="20" t="s">
        <v>53</v>
      </c>
      <c r="D111" s="21">
        <f>8507223.02/1000</f>
        <v>8507.2230199999995</v>
      </c>
    </row>
    <row r="112" spans="1:4" ht="42.75" customHeight="1" x14ac:dyDescent="0.2">
      <c r="A112" s="20" t="s">
        <v>56</v>
      </c>
      <c r="B112" s="20" t="s">
        <v>134</v>
      </c>
      <c r="C112" s="20" t="s">
        <v>55</v>
      </c>
      <c r="D112" s="21">
        <f>2600/1000</f>
        <v>2.6</v>
      </c>
    </row>
    <row r="113" spans="1:4" s="11" customFormat="1" ht="35.25" customHeight="1" x14ac:dyDescent="0.2">
      <c r="A113" s="47" t="s">
        <v>144</v>
      </c>
      <c r="B113" s="47"/>
      <c r="C113" s="47"/>
      <c r="D113" s="47"/>
    </row>
    <row r="114" spans="1:4" ht="56.25" x14ac:dyDescent="0.2">
      <c r="A114" s="22" t="s">
        <v>63</v>
      </c>
      <c r="B114" s="20" t="s">
        <v>61</v>
      </c>
      <c r="C114" s="20" t="s">
        <v>62</v>
      </c>
      <c r="D114" s="21">
        <f>2287281.07/1000</f>
        <v>2287.28107</v>
      </c>
    </row>
    <row r="115" spans="1:4" ht="18.75" customHeight="1" x14ac:dyDescent="0.2">
      <c r="A115" s="20" t="s">
        <v>65</v>
      </c>
      <c r="B115" s="20" t="s">
        <v>61</v>
      </c>
      <c r="C115" s="20" t="s">
        <v>64</v>
      </c>
      <c r="D115" s="21">
        <f>1383357.7/1000</f>
        <v>1383.3577</v>
      </c>
    </row>
    <row r="116" spans="1:4" s="18" customFormat="1" ht="18.75" customHeight="1" x14ac:dyDescent="0.2">
      <c r="A116" s="20" t="s">
        <v>47</v>
      </c>
      <c r="B116" s="20" t="s">
        <v>61</v>
      </c>
      <c r="C116" s="20" t="s">
        <v>46</v>
      </c>
      <c r="D116" s="21">
        <f>52441.5/1000</f>
        <v>52.441499999999998</v>
      </c>
    </row>
    <row r="117" spans="1:4" ht="45" x14ac:dyDescent="0.2">
      <c r="A117" s="22" t="s">
        <v>216</v>
      </c>
      <c r="B117" s="20" t="s">
        <v>61</v>
      </c>
      <c r="C117" s="20" t="s">
        <v>217</v>
      </c>
      <c r="D117" s="21">
        <f>184600/1000</f>
        <v>184.6</v>
      </c>
    </row>
    <row r="118" spans="1:4" ht="33.75" x14ac:dyDescent="0.2">
      <c r="A118" s="20" t="s">
        <v>67</v>
      </c>
      <c r="B118" s="20" t="s">
        <v>61</v>
      </c>
      <c r="C118" s="20" t="s">
        <v>66</v>
      </c>
      <c r="D118" s="21">
        <f>282065.92/1000</f>
        <v>282.06592000000001</v>
      </c>
    </row>
    <row r="119" spans="1:4" ht="33.75" x14ac:dyDescent="0.2">
      <c r="A119" s="20" t="s">
        <v>153</v>
      </c>
      <c r="B119" s="20" t="s">
        <v>61</v>
      </c>
      <c r="C119" s="20" t="s">
        <v>154</v>
      </c>
      <c r="D119" s="21">
        <f>345255/1000</f>
        <v>345.255</v>
      </c>
    </row>
    <row r="120" spans="1:4" ht="22.5" x14ac:dyDescent="0.2">
      <c r="A120" s="20" t="s">
        <v>218</v>
      </c>
      <c r="B120" s="20" t="s">
        <v>61</v>
      </c>
      <c r="C120" s="20" t="s">
        <v>219</v>
      </c>
      <c r="D120" s="21">
        <f>246637400/1000</f>
        <v>246637.4</v>
      </c>
    </row>
    <row r="121" spans="1:4" s="13" customFormat="1" ht="22.5" x14ac:dyDescent="0.2">
      <c r="A121" s="20" t="s">
        <v>155</v>
      </c>
      <c r="B121" s="20" t="s">
        <v>61</v>
      </c>
      <c r="C121" s="20" t="s">
        <v>156</v>
      </c>
      <c r="D121" s="21">
        <f>1309643.86/1000</f>
        <v>1309.6438600000001</v>
      </c>
    </row>
    <row r="122" spans="1:4" s="13" customFormat="1" ht="22.5" x14ac:dyDescent="0.2">
      <c r="A122" s="20" t="s">
        <v>135</v>
      </c>
      <c r="B122" s="20" t="s">
        <v>61</v>
      </c>
      <c r="C122" s="20" t="s">
        <v>136</v>
      </c>
      <c r="D122" s="21">
        <f>202151341.27/1000</f>
        <v>202151.34127</v>
      </c>
    </row>
    <row r="123" spans="1:4" s="13" customFormat="1" ht="33.75" x14ac:dyDescent="0.2">
      <c r="A123" s="20" t="s">
        <v>185</v>
      </c>
      <c r="B123" s="20" t="s">
        <v>61</v>
      </c>
      <c r="C123" s="20" t="s">
        <v>186</v>
      </c>
      <c r="D123" s="21">
        <f>38256621.6/1000</f>
        <v>38256.621599999999</v>
      </c>
    </row>
    <row r="124" spans="1:4" x14ac:dyDescent="0.2">
      <c r="A124" s="20" t="s">
        <v>52</v>
      </c>
      <c r="B124" s="20" t="s">
        <v>61</v>
      </c>
      <c r="C124" s="20" t="s">
        <v>51</v>
      </c>
      <c r="D124" s="21">
        <f>17574981.32/1000</f>
        <v>17574.981319999999</v>
      </c>
    </row>
    <row r="125" spans="1:4" ht="21" customHeight="1" x14ac:dyDescent="0.2">
      <c r="A125" s="20" t="s">
        <v>58</v>
      </c>
      <c r="B125" s="20" t="s">
        <v>61</v>
      </c>
      <c r="C125" s="20" t="s">
        <v>57</v>
      </c>
      <c r="D125" s="21">
        <f>23738712.24/1000</f>
        <v>23738.712239999997</v>
      </c>
    </row>
    <row r="126" spans="1:4" x14ac:dyDescent="0.2">
      <c r="A126" s="20" t="s">
        <v>220</v>
      </c>
      <c r="B126" s="20" t="s">
        <v>61</v>
      </c>
      <c r="C126" s="20" t="s">
        <v>221</v>
      </c>
      <c r="D126" s="21">
        <f>41875935/1000</f>
        <v>41875.934999999998</v>
      </c>
    </row>
    <row r="127" spans="1:4" s="11" customFormat="1" ht="24" customHeight="1" x14ac:dyDescent="0.2">
      <c r="A127" s="47" t="s">
        <v>145</v>
      </c>
      <c r="B127" s="47"/>
      <c r="C127" s="47"/>
      <c r="D127" s="47"/>
    </row>
    <row r="128" spans="1:4" ht="22.5" x14ac:dyDescent="0.2">
      <c r="A128" s="30" t="s">
        <v>187</v>
      </c>
      <c r="B128" s="30" t="s">
        <v>68</v>
      </c>
      <c r="C128" s="30" t="s">
        <v>189</v>
      </c>
      <c r="D128" s="36">
        <f>220000/1000</f>
        <v>220</v>
      </c>
    </row>
    <row r="129" spans="1:4" ht="23.25" customHeight="1" x14ac:dyDescent="0.2">
      <c r="A129" s="30" t="s">
        <v>188</v>
      </c>
      <c r="B129" s="30" t="s">
        <v>68</v>
      </c>
      <c r="C129" s="30" t="s">
        <v>190</v>
      </c>
      <c r="D129" s="36">
        <f>220000/1000</f>
        <v>220</v>
      </c>
    </row>
    <row r="130" spans="1:4" ht="33.75" x14ac:dyDescent="0.2">
      <c r="A130" s="30" t="s">
        <v>114</v>
      </c>
      <c r="B130" s="30" t="s">
        <v>68</v>
      </c>
      <c r="C130" s="30" t="s">
        <v>115</v>
      </c>
      <c r="D130" s="36">
        <f>20703800/1000</f>
        <v>20703.8</v>
      </c>
    </row>
    <row r="131" spans="1:4" s="18" customFormat="1" x14ac:dyDescent="0.2">
      <c r="A131" s="30" t="s">
        <v>52</v>
      </c>
      <c r="B131" s="30" t="s">
        <v>68</v>
      </c>
      <c r="C131" s="30" t="s">
        <v>51</v>
      </c>
      <c r="D131" s="36">
        <f>29924126.16/1000</f>
        <v>29924.12616</v>
      </c>
    </row>
    <row r="132" spans="1:4" s="18" customFormat="1" ht="22.5" x14ac:dyDescent="0.2">
      <c r="A132" s="30" t="s">
        <v>54</v>
      </c>
      <c r="B132" s="30" t="s">
        <v>68</v>
      </c>
      <c r="C132" s="30" t="s">
        <v>53</v>
      </c>
      <c r="D132" s="36">
        <f>13589715.19/1000</f>
        <v>13589.715189999999</v>
      </c>
    </row>
    <row r="133" spans="1:4" s="18" customFormat="1" x14ac:dyDescent="0.2">
      <c r="A133" s="30" t="s">
        <v>70</v>
      </c>
      <c r="B133" s="30" t="s">
        <v>68</v>
      </c>
      <c r="C133" s="30" t="s">
        <v>69</v>
      </c>
      <c r="D133" s="36">
        <f>1092801410/1000</f>
        <v>1092801.4099999999</v>
      </c>
    </row>
    <row r="134" spans="1:4" ht="45" x14ac:dyDescent="0.2">
      <c r="A134" s="30" t="s">
        <v>157</v>
      </c>
      <c r="B134" s="30" t="s">
        <v>68</v>
      </c>
      <c r="C134" s="30" t="s">
        <v>158</v>
      </c>
      <c r="D134" s="36">
        <f>1930199.97/1000</f>
        <v>1930.1999699999999</v>
      </c>
    </row>
    <row r="135" spans="1:4" s="18" customFormat="1" ht="67.5" x14ac:dyDescent="0.2">
      <c r="A135" s="37" t="s">
        <v>222</v>
      </c>
      <c r="B135" s="30" t="s">
        <v>68</v>
      </c>
      <c r="C135" s="30" t="s">
        <v>116</v>
      </c>
      <c r="D135" s="36">
        <f>64580600/1000</f>
        <v>64580.6</v>
      </c>
    </row>
    <row r="136" spans="1:4" ht="90" x14ac:dyDescent="0.2">
      <c r="A136" s="37" t="s">
        <v>223</v>
      </c>
      <c r="B136" s="30" t="s">
        <v>68</v>
      </c>
      <c r="C136" s="30" t="s">
        <v>224</v>
      </c>
      <c r="D136" s="36">
        <f>234360/1000</f>
        <v>234.36</v>
      </c>
    </row>
    <row r="137" spans="1:4" s="11" customFormat="1" ht="28.5" customHeight="1" x14ac:dyDescent="0.2">
      <c r="A137" s="47" t="s">
        <v>146</v>
      </c>
      <c r="B137" s="47"/>
      <c r="C137" s="47"/>
      <c r="D137" s="47"/>
    </row>
    <row r="138" spans="1:4" ht="12.75" customHeight="1" x14ac:dyDescent="0.2">
      <c r="A138" s="30" t="s">
        <v>187</v>
      </c>
      <c r="B138" s="30" t="s">
        <v>71</v>
      </c>
      <c r="C138" s="30" t="s">
        <v>189</v>
      </c>
      <c r="D138" s="36">
        <f>220000/1000</f>
        <v>220</v>
      </c>
    </row>
    <row r="139" spans="1:4" s="13" customFormat="1" ht="12.75" customHeight="1" x14ac:dyDescent="0.2">
      <c r="A139" s="30" t="s">
        <v>137</v>
      </c>
      <c r="B139" s="30" t="s">
        <v>71</v>
      </c>
      <c r="C139" s="30" t="s">
        <v>138</v>
      </c>
      <c r="D139" s="36">
        <f>3834228.88/1000</f>
        <v>3834.2288799999997</v>
      </c>
    </row>
    <row r="140" spans="1:4" s="13" customFormat="1" ht="12.75" customHeight="1" x14ac:dyDescent="0.2">
      <c r="A140" s="30" t="s">
        <v>135</v>
      </c>
      <c r="B140" s="30" t="s">
        <v>71</v>
      </c>
      <c r="C140" s="30" t="s">
        <v>136</v>
      </c>
      <c r="D140" s="36">
        <f>2000000/1000</f>
        <v>2000</v>
      </c>
    </row>
    <row r="141" spans="1:4" x14ac:dyDescent="0.2">
      <c r="A141" s="30" t="s">
        <v>52</v>
      </c>
      <c r="B141" s="30" t="s">
        <v>71</v>
      </c>
      <c r="C141" s="30" t="s">
        <v>51</v>
      </c>
      <c r="D141" s="36">
        <f>608086/1000</f>
        <v>608.08600000000001</v>
      </c>
    </row>
    <row r="142" spans="1:4" s="11" customFormat="1" ht="12.75" customHeight="1" x14ac:dyDescent="0.2">
      <c r="A142" s="54" t="s">
        <v>147</v>
      </c>
      <c r="B142" s="54"/>
      <c r="C142" s="54"/>
      <c r="D142" s="54"/>
    </row>
    <row r="143" spans="1:4" ht="45" x14ac:dyDescent="0.2">
      <c r="A143" s="37" t="s">
        <v>74</v>
      </c>
      <c r="B143" s="30" t="s">
        <v>72</v>
      </c>
      <c r="C143" s="30" t="s">
        <v>73</v>
      </c>
      <c r="D143" s="36">
        <f>1025498.67/1000</f>
        <v>1025.4986699999999</v>
      </c>
    </row>
    <row r="144" spans="1:4" s="18" customFormat="1" ht="67.5" x14ac:dyDescent="0.2">
      <c r="A144" s="37" t="s">
        <v>225</v>
      </c>
      <c r="B144" s="30" t="s">
        <v>72</v>
      </c>
      <c r="C144" s="30" t="s">
        <v>226</v>
      </c>
      <c r="D144" s="36">
        <f>200.41/1000</f>
        <v>0.20041</v>
      </c>
    </row>
    <row r="145" spans="1:4" s="18" customFormat="1" ht="22.5" x14ac:dyDescent="0.2">
      <c r="A145" s="30" t="s">
        <v>76</v>
      </c>
      <c r="B145" s="30" t="s">
        <v>72</v>
      </c>
      <c r="C145" s="30" t="s">
        <v>75</v>
      </c>
      <c r="D145" s="25">
        <f>337200.67/1000</f>
        <v>337.20067</v>
      </c>
    </row>
    <row r="146" spans="1:4" ht="12.75" customHeight="1" x14ac:dyDescent="0.2">
      <c r="A146" s="38" t="s">
        <v>77</v>
      </c>
      <c r="B146" s="39"/>
      <c r="C146" s="40"/>
      <c r="D146" s="42">
        <f>2636769001.04/1000</f>
        <v>2636769.00104</v>
      </c>
    </row>
  </sheetData>
  <mergeCells count="17">
    <mergeCell ref="A137:D137"/>
    <mergeCell ref="A142:D142"/>
    <mergeCell ref="A18:D18"/>
    <mergeCell ref="A45:D45"/>
    <mergeCell ref="A53:D53"/>
    <mergeCell ref="A64:D64"/>
    <mergeCell ref="A98:D98"/>
    <mergeCell ref="A100:D100"/>
    <mergeCell ref="A109:D109"/>
    <mergeCell ref="A113:D113"/>
    <mergeCell ref="A47:D47"/>
    <mergeCell ref="B1:D5"/>
    <mergeCell ref="A7:D7"/>
    <mergeCell ref="A11:D11"/>
    <mergeCell ref="A127:D127"/>
    <mergeCell ref="A59:D59"/>
    <mergeCell ref="A49:D49"/>
  </mergeCells>
  <pageMargins left="0.59055118110236227" right="0.59055118110236227" top="0.39370078740157483" bottom="0.39370078740157483" header="0" footer="0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Универсальный отчет по доходам</vt:lpstr>
      <vt:lpstr>'Универсальный отчет по доходам'!APPT</vt:lpstr>
      <vt:lpstr>'Универсальный отчет по доходам'!FIO</vt:lpstr>
      <vt:lpstr>'Универсальный отчет по доходам'!LAST_CELL</vt:lpstr>
      <vt:lpstr>'Универсальный отчет по доходам'!SIGN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Николаевна Потан</dc:creator>
  <dc:description>POI HSSF rep:2.49.0.156</dc:description>
  <cp:lastModifiedBy>Наталья Геннадьевна Воскресенская</cp:lastModifiedBy>
  <cp:lastPrinted>2025-03-31T01:48:48Z</cp:lastPrinted>
  <dcterms:created xsi:type="dcterms:W3CDTF">2020-01-27T08:04:16Z</dcterms:created>
  <dcterms:modified xsi:type="dcterms:W3CDTF">2025-03-31T01:49:15Z</dcterms:modified>
</cp:coreProperties>
</file>